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llenkatz/Documents/Real Estate/Notes School/Webinars/Thurs 12.1.16/Kevin Moen/"/>
    </mc:Choice>
  </mc:AlternateContent>
  <bookViews>
    <workbookView xWindow="5540" yWindow="460" windowWidth="21500" windowHeight="146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6" i="1"/>
  <c r="C5" i="1"/>
  <c r="F15" i="1"/>
  <c r="F29" i="1"/>
  <c r="F8" i="1"/>
  <c r="B29" i="1"/>
  <c r="F30" i="1"/>
  <c r="B30" i="1"/>
  <c r="F31" i="1"/>
  <c r="B31" i="1"/>
  <c r="F28" i="1"/>
  <c r="B28" i="1"/>
  <c r="F12" i="1"/>
  <c r="C10" i="1"/>
  <c r="F5" i="1"/>
  <c r="F6" i="1"/>
  <c r="J6" i="1"/>
  <c r="F9" i="1"/>
  <c r="C37" i="1"/>
  <c r="C35" i="1"/>
  <c r="C38" i="1"/>
  <c r="F35" i="1"/>
  <c r="F36" i="1"/>
  <c r="F37" i="1"/>
  <c r="F34" i="1"/>
  <c r="G35" i="1"/>
  <c r="G36" i="1"/>
  <c r="G37" i="1"/>
  <c r="G34" i="1"/>
  <c r="I13" i="1"/>
  <c r="I15" i="1"/>
  <c r="J22" i="1"/>
  <c r="J8" i="1"/>
  <c r="E22" i="1"/>
  <c r="E24" i="1"/>
  <c r="E19" i="1"/>
  <c r="E25" i="1"/>
  <c r="E20" i="1"/>
  <c r="J23" i="1"/>
  <c r="J24" i="1"/>
  <c r="J25" i="1"/>
  <c r="J7" i="1"/>
  <c r="F10" i="1"/>
</calcChain>
</file>

<file path=xl/sharedStrings.xml><?xml version="1.0" encoding="utf-8"?>
<sst xmlns="http://schemas.openxmlformats.org/spreadsheetml/2006/main" count="54" uniqueCount="41">
  <si>
    <t>Rents</t>
  </si>
  <si>
    <t>Taxes</t>
  </si>
  <si>
    <t>Insurance</t>
  </si>
  <si>
    <t>Management</t>
  </si>
  <si>
    <t>Repairs</t>
  </si>
  <si>
    <t>NOI</t>
  </si>
  <si>
    <t>Monthly NOI</t>
  </si>
  <si>
    <t>Annual NOI</t>
  </si>
  <si>
    <t>Return</t>
  </si>
  <si>
    <t>P.I. Payment</t>
  </si>
  <si>
    <t>Cap Rate</t>
  </si>
  <si>
    <t>Cash Flow</t>
  </si>
  <si>
    <t>My Return</t>
  </si>
  <si>
    <t>Cash In</t>
  </si>
  <si>
    <t>Amount Financed</t>
  </si>
  <si>
    <t xml:space="preserve">Interest Rate </t>
  </si>
  <si>
    <t>Term</t>
  </si>
  <si>
    <t>Payment</t>
  </si>
  <si>
    <t>Cash / Conventional Financing Purchase</t>
  </si>
  <si>
    <t>Profit</t>
  </si>
  <si>
    <t>20% taxes on profit</t>
  </si>
  <si>
    <t>Sales Price</t>
  </si>
  <si>
    <t>Payoff</t>
  </si>
  <si>
    <t>Closing Costs</t>
  </si>
  <si>
    <t>Income</t>
  </si>
  <si>
    <t>25% Down</t>
  </si>
  <si>
    <t>Financed</t>
  </si>
  <si>
    <t>Payment 5% int</t>
  </si>
  <si>
    <t>PITIVR</t>
  </si>
  <si>
    <t>Return w/Mgmt</t>
  </si>
  <si>
    <t>Cash Invested</t>
  </si>
  <si>
    <t>Down Payment</t>
  </si>
  <si>
    <t>Down</t>
  </si>
  <si>
    <t>Vacancy</t>
  </si>
  <si>
    <t>Note Sale</t>
  </si>
  <si>
    <t>Purchase</t>
  </si>
  <si>
    <t>Closing</t>
  </si>
  <si>
    <t>Rehab</t>
  </si>
  <si>
    <t>Total In</t>
  </si>
  <si>
    <t>Expenses</t>
  </si>
  <si>
    <t>Seller Finance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</si>
</sst>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0.0%"/>
    <numFmt numFmtId="166" formatCode="&quot;$&quot;#,##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164" fontId="0" fillId="0" borderId="0" xfId="0" applyNumberFormat="1"/>
    <xf numFmtId="164" fontId="2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6" fontId="2" fillId="0" borderId="0" xfId="0" applyNumberFormat="1" applyFont="1" applyAlignment="1">
      <alignment horizontal="center"/>
    </xf>
    <xf numFmtId="0" fontId="0" fillId="0" borderId="3" xfId="0" applyBorder="1"/>
    <xf numFmtId="164" fontId="0" fillId="0" borderId="4" xfId="0" applyNumberFormat="1" applyBorder="1"/>
    <xf numFmtId="0" fontId="0" fillId="0" borderId="5" xfId="0" applyBorder="1"/>
    <xf numFmtId="165" fontId="0" fillId="0" borderId="6" xfId="1" applyNumberFormat="1" applyFont="1" applyBorder="1"/>
    <xf numFmtId="165" fontId="2" fillId="0" borderId="0" xfId="1" applyNumberFormat="1" applyFont="1"/>
    <xf numFmtId="165" fontId="2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Border="1" applyAlignment="1"/>
    <xf numFmtId="164" fontId="0" fillId="0" borderId="4" xfId="0" applyNumberFormat="1" applyBorder="1" applyAlignment="1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8" xfId="0" applyBorder="1" applyAlignment="1">
      <alignment horizontal="right"/>
    </xf>
    <xf numFmtId="164" fontId="0" fillId="0" borderId="6" xfId="0" applyNumberFormat="1" applyBorder="1"/>
    <xf numFmtId="10" fontId="0" fillId="0" borderId="6" xfId="0" applyNumberFormat="1" applyBorder="1"/>
    <xf numFmtId="6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6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2" fillId="0" borderId="4" xfId="0" applyNumberFormat="1" applyFont="1" applyBorder="1"/>
    <xf numFmtId="165" fontId="2" fillId="0" borderId="4" xfId="1" applyNumberFormat="1" applyFont="1" applyBorder="1" applyAlignment="1">
      <alignment horizontal="center"/>
    </xf>
    <xf numFmtId="9" fontId="0" fillId="0" borderId="0" xfId="0" applyNumberFormat="1" applyBorder="1"/>
    <xf numFmtId="0" fontId="2" fillId="0" borderId="5" xfId="0" applyFont="1" applyBorder="1" applyAlignment="1">
      <alignment horizontal="right"/>
    </xf>
    <xf numFmtId="164" fontId="2" fillId="0" borderId="8" xfId="0" applyNumberFormat="1" applyFont="1" applyBorder="1"/>
    <xf numFmtId="0" fontId="0" fillId="0" borderId="8" xfId="0" applyBorder="1"/>
    <xf numFmtId="0" fontId="2" fillId="0" borderId="8" xfId="0" applyFont="1" applyBorder="1" applyAlignment="1">
      <alignment horizontal="right"/>
    </xf>
    <xf numFmtId="165" fontId="2" fillId="0" borderId="6" xfId="1" applyNumberFormat="1" applyFont="1" applyBorder="1"/>
    <xf numFmtId="10" fontId="0" fillId="0" borderId="4" xfId="0" applyNumberFormat="1" applyBorder="1" applyAlignment="1">
      <alignment horizontal="center"/>
    </xf>
    <xf numFmtId="0" fontId="0" fillId="0" borderId="4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right"/>
    </xf>
    <xf numFmtId="8" fontId="0" fillId="0" borderId="0" xfId="0" applyNumberFormat="1" applyBorder="1" applyAlignment="1">
      <alignment horizontal="right"/>
    </xf>
    <xf numFmtId="164" fontId="0" fillId="0" borderId="8" xfId="0" applyNumberFormat="1" applyBorder="1"/>
    <xf numFmtId="165" fontId="0" fillId="0" borderId="8" xfId="1" applyNumberFormat="1" applyFont="1" applyBorder="1" applyAlignment="1">
      <alignment horizontal="center"/>
    </xf>
    <xf numFmtId="0" fontId="0" fillId="0" borderId="1" xfId="0" applyBorder="1"/>
    <xf numFmtId="6" fontId="0" fillId="0" borderId="2" xfId="0" applyNumberFormat="1" applyBorder="1"/>
    <xf numFmtId="6" fontId="0" fillId="0" borderId="4" xfId="0" applyNumberFormat="1" applyBorder="1"/>
    <xf numFmtId="6" fontId="0" fillId="0" borderId="6" xfId="0" applyNumberFormat="1" applyBorder="1"/>
    <xf numFmtId="0" fontId="0" fillId="0" borderId="9" xfId="0" applyFill="1" applyBorder="1"/>
    <xf numFmtId="9" fontId="0" fillId="0" borderId="10" xfId="1" applyFont="1" applyBorder="1"/>
    <xf numFmtId="0" fontId="0" fillId="0" borderId="0" xfId="0" applyBorder="1" applyAlignment="1">
      <alignment horizontal="right"/>
    </xf>
    <xf numFmtId="0" fontId="0" fillId="0" borderId="7" xfId="0" applyBorder="1"/>
    <xf numFmtId="164" fontId="0" fillId="0" borderId="3" xfId="0" applyNumberFormat="1" applyBorder="1"/>
    <xf numFmtId="164" fontId="2" fillId="0" borderId="2" xfId="0" applyNumberFormat="1" applyFont="1" applyBorder="1"/>
    <xf numFmtId="164" fontId="0" fillId="0" borderId="0" xfId="1" applyNumberFormat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164" fontId="0" fillId="0" borderId="7" xfId="0" applyNumberFormat="1" applyBorder="1"/>
    <xf numFmtId="0" fontId="0" fillId="0" borderId="11" xfId="0" applyBorder="1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3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9"/>
  <sheetViews>
    <sheetView showGridLines="0" tabSelected="1" workbookViewId="0">
      <selection activeCell="J26" sqref="J26"/>
    </sheetView>
  </sheetViews>
  <sheetFormatPr baseColWidth="10" defaultRowHeight="16" x14ac:dyDescent="0.2"/>
  <cols>
    <col min="1" max="1" width="9.1640625" customWidth="1"/>
    <col min="2" max="2" width="12.6640625" customWidth="1"/>
    <col min="3" max="3" width="10.83203125" style="1"/>
    <col min="4" max="4" width="2.6640625" customWidth="1"/>
    <col min="5" max="5" width="12.33203125" style="3" customWidth="1"/>
    <col min="6" max="6" width="11.33203125" style="1" bestFit="1" customWidth="1"/>
    <col min="7" max="7" width="7.33203125" style="1" customWidth="1"/>
    <col min="8" max="8" width="12.5" customWidth="1"/>
    <col min="10" max="10" width="11.33203125" bestFit="1" customWidth="1"/>
  </cols>
  <sheetData>
    <row r="2" spans="2:10" x14ac:dyDescent="0.2">
      <c r="B2" s="67" t="s">
        <v>40</v>
      </c>
      <c r="C2" s="68"/>
      <c r="D2" s="68"/>
      <c r="E2" s="68"/>
      <c r="F2" s="21">
        <v>70000</v>
      </c>
      <c r="G2" s="5"/>
    </row>
    <row r="3" spans="2:10" ht="4" customHeight="1" x14ac:dyDescent="0.2">
      <c r="B3" s="22"/>
      <c r="C3" s="23"/>
      <c r="D3" s="23"/>
      <c r="E3" s="23"/>
      <c r="F3" s="24"/>
      <c r="G3" s="5"/>
    </row>
    <row r="4" spans="2:10" x14ac:dyDescent="0.2">
      <c r="B4" s="22" t="s">
        <v>0</v>
      </c>
      <c r="C4" s="25">
        <v>950</v>
      </c>
      <c r="D4" s="26"/>
      <c r="E4" s="23"/>
      <c r="F4" s="7"/>
      <c r="I4" s="62" t="s">
        <v>12</v>
      </c>
      <c r="J4" s="64"/>
    </row>
    <row r="5" spans="2:10" x14ac:dyDescent="0.2">
      <c r="B5" s="16" t="s">
        <v>1</v>
      </c>
      <c r="C5" s="27">
        <f>-3750/12</f>
        <v>-312.5</v>
      </c>
      <c r="D5" s="26"/>
      <c r="E5" s="23" t="s">
        <v>7</v>
      </c>
      <c r="F5" s="28">
        <f>12*C10</f>
        <v>5538</v>
      </c>
      <c r="G5" s="2"/>
      <c r="I5" s="6" t="s">
        <v>13</v>
      </c>
      <c r="J5" s="7">
        <v>40000</v>
      </c>
    </row>
    <row r="6" spans="2:10" x14ac:dyDescent="0.2">
      <c r="B6" s="16" t="s">
        <v>2</v>
      </c>
      <c r="C6" s="27">
        <f>600/12</f>
        <v>50</v>
      </c>
      <c r="D6" s="26"/>
      <c r="E6" s="23" t="s">
        <v>10</v>
      </c>
      <c r="F6" s="29">
        <f>F5/F2</f>
        <v>7.911428571428572E-2</v>
      </c>
      <c r="G6" s="11"/>
      <c r="I6" s="6" t="s">
        <v>5</v>
      </c>
      <c r="J6" s="7">
        <f>(F8-1275)*12</f>
        <v>-12290.989554391706</v>
      </c>
    </row>
    <row r="7" spans="2:10" x14ac:dyDescent="0.2">
      <c r="B7" s="16" t="s">
        <v>3</v>
      </c>
      <c r="C7" s="27">
        <v>-95</v>
      </c>
      <c r="D7" s="26"/>
      <c r="E7" s="23" t="s">
        <v>32</v>
      </c>
      <c r="F7" s="28">
        <v>35000</v>
      </c>
      <c r="G7" s="2"/>
      <c r="I7" s="8" t="s">
        <v>8</v>
      </c>
      <c r="J7" s="9">
        <f>J6/J5</f>
        <v>-0.30727473885979267</v>
      </c>
    </row>
    <row r="8" spans="2:10" x14ac:dyDescent="0.2">
      <c r="B8" s="16" t="s">
        <v>33</v>
      </c>
      <c r="C8" s="27">
        <f>-950*0.08</f>
        <v>-76</v>
      </c>
      <c r="D8" s="30"/>
      <c r="E8" s="23" t="s">
        <v>9</v>
      </c>
      <c r="F8" s="28">
        <f>-PMT((F13/12),F14,(F2-F7))</f>
        <v>250.75087046735769</v>
      </c>
      <c r="G8" s="2"/>
      <c r="I8" s="46" t="s">
        <v>29</v>
      </c>
      <c r="J8" s="47">
        <f>(J6+(-C7*12))/J5</f>
        <v>-0.27877473885979265</v>
      </c>
    </row>
    <row r="9" spans="2:10" x14ac:dyDescent="0.2">
      <c r="B9" s="16" t="s">
        <v>4</v>
      </c>
      <c r="C9" s="27">
        <v>-55</v>
      </c>
      <c r="D9" s="26"/>
      <c r="E9" s="23" t="s">
        <v>11</v>
      </c>
      <c r="F9" s="28">
        <f>C10-F8</f>
        <v>210.74912953264231</v>
      </c>
      <c r="G9" s="2"/>
    </row>
    <row r="10" spans="2:10" x14ac:dyDescent="0.2">
      <c r="B10" s="31" t="s">
        <v>6</v>
      </c>
      <c r="C10" s="32">
        <f>SUM(C4:C9)</f>
        <v>461.5</v>
      </c>
      <c r="D10" s="33"/>
      <c r="E10" s="34" t="s">
        <v>8</v>
      </c>
      <c r="F10" s="35">
        <f>(F9*12)/F7</f>
        <v>7.2256844411191651E-2</v>
      </c>
      <c r="G10" s="10"/>
    </row>
    <row r="11" spans="2:10" ht="6" customHeight="1" x14ac:dyDescent="0.2"/>
    <row r="12" spans="2:10" x14ac:dyDescent="0.2">
      <c r="D12" s="70" t="s">
        <v>14</v>
      </c>
      <c r="E12" s="69"/>
      <c r="F12" s="57">
        <f>F2-F7</f>
        <v>35000</v>
      </c>
      <c r="H12" s="42" t="s">
        <v>30</v>
      </c>
      <c r="I12" s="43">
        <v>-79875</v>
      </c>
    </row>
    <row r="13" spans="2:10" x14ac:dyDescent="0.2">
      <c r="D13" s="6"/>
      <c r="E13" s="17" t="s">
        <v>15</v>
      </c>
      <c r="F13" s="36">
        <v>0.06</v>
      </c>
      <c r="G13" s="12"/>
      <c r="H13" s="6" t="s">
        <v>31</v>
      </c>
      <c r="I13" s="44">
        <f>F7</f>
        <v>35000</v>
      </c>
    </row>
    <row r="14" spans="2:10" x14ac:dyDescent="0.2">
      <c r="D14" s="6"/>
      <c r="E14" s="17" t="s">
        <v>16</v>
      </c>
      <c r="F14" s="37">
        <v>240</v>
      </c>
      <c r="G14" s="13"/>
      <c r="H14" s="6" t="s">
        <v>0</v>
      </c>
      <c r="I14" s="44">
        <v>11153</v>
      </c>
    </row>
    <row r="15" spans="2:10" x14ac:dyDescent="0.2">
      <c r="D15" s="6"/>
      <c r="E15" s="17" t="s">
        <v>17</v>
      </c>
      <c r="F15" s="56">
        <f>-PMT((F13/12),F14,(F2-F7))</f>
        <v>250.75087046735769</v>
      </c>
      <c r="H15" s="8" t="s">
        <v>13</v>
      </c>
      <c r="I15" s="45">
        <f>SUM(I12:I14)</f>
        <v>-33722</v>
      </c>
    </row>
    <row r="16" spans="2:10" x14ac:dyDescent="0.2">
      <c r="D16" s="69"/>
      <c r="E16" s="69"/>
      <c r="F16" s="58"/>
    </row>
    <row r="17" spans="2:10" x14ac:dyDescent="0.2">
      <c r="H17" s="62" t="s">
        <v>12</v>
      </c>
      <c r="I17" s="63"/>
      <c r="J17" s="64"/>
    </row>
    <row r="18" spans="2:10" x14ac:dyDescent="0.2">
      <c r="B18" s="62" t="s">
        <v>18</v>
      </c>
      <c r="C18" s="63"/>
      <c r="D18" s="63"/>
      <c r="E18" s="63"/>
      <c r="F18" s="64"/>
      <c r="G18" s="4"/>
      <c r="H18" s="6"/>
      <c r="I18" s="14" t="s">
        <v>21</v>
      </c>
      <c r="J18" s="15">
        <v>375000</v>
      </c>
    </row>
    <row r="19" spans="2:10" x14ac:dyDescent="0.2">
      <c r="B19" s="6"/>
      <c r="C19" s="27" t="s">
        <v>25</v>
      </c>
      <c r="D19" s="26"/>
      <c r="E19" s="38">
        <f>0.25*J18</f>
        <v>93750</v>
      </c>
      <c r="F19" s="7"/>
      <c r="H19" s="16"/>
      <c r="I19" s="17" t="s">
        <v>13</v>
      </c>
      <c r="J19" s="7">
        <v>79875</v>
      </c>
    </row>
    <row r="20" spans="2:10" x14ac:dyDescent="0.2">
      <c r="B20" s="6"/>
      <c r="C20" s="27" t="s">
        <v>26</v>
      </c>
      <c r="D20" s="26"/>
      <c r="E20" s="38">
        <f>J18-E19+(0.03*J18)</f>
        <v>292500</v>
      </c>
      <c r="F20" s="7"/>
      <c r="H20" s="16"/>
      <c r="I20" s="17" t="s">
        <v>22</v>
      </c>
      <c r="J20" s="7">
        <v>341250</v>
      </c>
    </row>
    <row r="21" spans="2:10" x14ac:dyDescent="0.2">
      <c r="B21" s="65" t="s">
        <v>27</v>
      </c>
      <c r="C21" s="66"/>
      <c r="D21" s="26"/>
      <c r="E21" s="38">
        <v>1570.2</v>
      </c>
      <c r="F21" s="7"/>
      <c r="H21" s="16"/>
      <c r="I21" s="17" t="s">
        <v>23</v>
      </c>
      <c r="J21" s="7">
        <v>0</v>
      </c>
    </row>
    <row r="22" spans="2:10" x14ac:dyDescent="0.2">
      <c r="B22" s="6"/>
      <c r="C22" s="27" t="s">
        <v>28</v>
      </c>
      <c r="D22" s="26"/>
      <c r="E22" s="38">
        <f>E21+78+46+288+100</f>
        <v>2082.1999999999998</v>
      </c>
      <c r="F22" s="7"/>
      <c r="H22" s="16"/>
      <c r="I22" s="17" t="s">
        <v>24</v>
      </c>
      <c r="J22" s="7">
        <f>J18-J20-J21</f>
        <v>33750</v>
      </c>
    </row>
    <row r="23" spans="2:10" x14ac:dyDescent="0.2">
      <c r="B23" s="6"/>
      <c r="C23" s="27" t="s">
        <v>0</v>
      </c>
      <c r="D23" s="26"/>
      <c r="E23" s="39">
        <v>2600</v>
      </c>
      <c r="F23" s="7"/>
      <c r="H23" s="60" t="s">
        <v>20</v>
      </c>
      <c r="I23" s="61"/>
      <c r="J23" s="7">
        <f>J22*0.2</f>
        <v>6750</v>
      </c>
    </row>
    <row r="24" spans="2:10" x14ac:dyDescent="0.2">
      <c r="B24" s="6"/>
      <c r="C24" s="27" t="s">
        <v>11</v>
      </c>
      <c r="D24" s="26"/>
      <c r="E24" s="39">
        <f>E23-E22</f>
        <v>517.80000000000018</v>
      </c>
      <c r="F24" s="7"/>
      <c r="H24" s="16"/>
      <c r="I24" s="17" t="s">
        <v>19</v>
      </c>
      <c r="J24" s="7">
        <f>J22-J23</f>
        <v>27000</v>
      </c>
    </row>
    <row r="25" spans="2:10" x14ac:dyDescent="0.2">
      <c r="B25" s="8"/>
      <c r="C25" s="40" t="s">
        <v>8</v>
      </c>
      <c r="D25" s="33"/>
      <c r="E25" s="41">
        <f>(E24*12)/E19</f>
        <v>6.6278400000000029E-2</v>
      </c>
      <c r="F25" s="19"/>
      <c r="H25" s="8"/>
      <c r="I25" s="18" t="s">
        <v>8</v>
      </c>
      <c r="J25" s="20">
        <f>(J22-J23)/J19</f>
        <v>0.3380281690140845</v>
      </c>
    </row>
    <row r="27" spans="2:10" x14ac:dyDescent="0.2">
      <c r="B27" s="62" t="s">
        <v>24</v>
      </c>
      <c r="C27" s="63"/>
      <c r="D27" s="49"/>
      <c r="E27" s="63" t="s">
        <v>34</v>
      </c>
      <c r="F27" s="64"/>
    </row>
    <row r="28" spans="2:10" x14ac:dyDescent="0.2">
      <c r="B28" s="50">
        <f>$F$7+F28+(5*$F$8)-(5*25)</f>
        <v>60628.754352336786</v>
      </c>
      <c r="C28" s="27"/>
      <c r="D28" s="26"/>
      <c r="E28" s="54">
        <v>0.7</v>
      </c>
      <c r="F28" s="7">
        <f>($F$2-$F$7)*E28</f>
        <v>24500</v>
      </c>
    </row>
    <row r="29" spans="2:10" x14ac:dyDescent="0.2">
      <c r="B29" s="50">
        <f t="shared" ref="B29:B31" si="0">$F$7+F29+(5*$F$8)-(5*25)</f>
        <v>62378.754352336786</v>
      </c>
      <c r="C29" s="27"/>
      <c r="D29" s="26"/>
      <c r="E29" s="54">
        <v>0.75</v>
      </c>
      <c r="F29" s="7">
        <f t="shared" ref="F29:F31" si="1">($F$2-$F$7)*E29</f>
        <v>26250</v>
      </c>
    </row>
    <row r="30" spans="2:10" x14ac:dyDescent="0.2">
      <c r="B30" s="50">
        <f t="shared" si="0"/>
        <v>64128.754352336786</v>
      </c>
      <c r="C30" s="27"/>
      <c r="D30" s="26"/>
      <c r="E30" s="54">
        <v>0.8</v>
      </c>
      <c r="F30" s="7">
        <f t="shared" si="1"/>
        <v>28000</v>
      </c>
    </row>
    <row r="31" spans="2:10" x14ac:dyDescent="0.2">
      <c r="B31" s="50">
        <f t="shared" si="0"/>
        <v>65878.754352336793</v>
      </c>
      <c r="C31" s="40"/>
      <c r="D31" s="33"/>
      <c r="E31" s="55">
        <v>0.85</v>
      </c>
      <c r="F31" s="19">
        <f t="shared" si="1"/>
        <v>29750</v>
      </c>
    </row>
    <row r="32" spans="2:10" x14ac:dyDescent="0.2">
      <c r="B32" s="59"/>
    </row>
    <row r="33" spans="2:7" x14ac:dyDescent="0.2">
      <c r="B33" s="62" t="s">
        <v>39</v>
      </c>
      <c r="C33" s="63"/>
      <c r="D33" s="49"/>
      <c r="E33" s="63" t="s">
        <v>19</v>
      </c>
      <c r="F33" s="63"/>
      <c r="G33" s="51" t="s">
        <v>8</v>
      </c>
    </row>
    <row r="34" spans="2:7" x14ac:dyDescent="0.2">
      <c r="B34" s="6" t="s">
        <v>35</v>
      </c>
      <c r="C34" s="27">
        <v>35000</v>
      </c>
      <c r="D34" s="26"/>
      <c r="E34" s="54">
        <v>0.7</v>
      </c>
      <c r="F34" s="52">
        <f>B28-$C$38</f>
        <v>12128.754352336786</v>
      </c>
      <c r="G34" s="53">
        <f>F34/$C$38</f>
        <v>0.25007740932653166</v>
      </c>
    </row>
    <row r="35" spans="2:7" x14ac:dyDescent="0.2">
      <c r="B35" s="6" t="s">
        <v>36</v>
      </c>
      <c r="C35" s="27">
        <f>0.1*C34</f>
        <v>3500</v>
      </c>
      <c r="D35" s="26"/>
      <c r="E35" s="54">
        <v>0.75</v>
      </c>
      <c r="F35" s="52">
        <f t="shared" ref="F35:F37" si="2">B29-$C$38</f>
        <v>13878.754352336786</v>
      </c>
      <c r="G35" s="53">
        <f>F35/$C$38</f>
        <v>0.28615988355333577</v>
      </c>
    </row>
    <row r="36" spans="2:7" x14ac:dyDescent="0.2">
      <c r="B36" s="6" t="s">
        <v>37</v>
      </c>
      <c r="C36" s="27">
        <v>3000</v>
      </c>
      <c r="D36" s="26"/>
      <c r="E36" s="54">
        <v>0.8</v>
      </c>
      <c r="F36" s="52">
        <f t="shared" si="2"/>
        <v>15628.754352336786</v>
      </c>
      <c r="G36" s="53">
        <f t="shared" ref="G36:G37" si="3">F36/$C$38</f>
        <v>0.32224235778013993</v>
      </c>
    </row>
    <row r="37" spans="2:7" x14ac:dyDescent="0.2">
      <c r="B37" s="6" t="s">
        <v>36</v>
      </c>
      <c r="C37" s="27">
        <f>0.1*F2</f>
        <v>7000</v>
      </c>
      <c r="D37" s="26"/>
      <c r="E37" s="54">
        <v>0.85</v>
      </c>
      <c r="F37" s="52">
        <f t="shared" si="2"/>
        <v>17378.754352336793</v>
      </c>
      <c r="G37" s="53">
        <f t="shared" si="3"/>
        <v>0.3583248320069442</v>
      </c>
    </row>
    <row r="38" spans="2:7" x14ac:dyDescent="0.2">
      <c r="B38" s="8" t="s">
        <v>38</v>
      </c>
      <c r="C38" s="32">
        <f>SUM(C34:C37)</f>
        <v>48500</v>
      </c>
      <c r="D38" s="33"/>
      <c r="E38" s="18"/>
      <c r="F38" s="40"/>
      <c r="G38" s="19"/>
    </row>
    <row r="39" spans="2:7" x14ac:dyDescent="0.2">
      <c r="B39" s="26"/>
      <c r="C39" s="25"/>
      <c r="D39" s="26"/>
      <c r="E39" s="48"/>
      <c r="F39" s="27"/>
      <c r="G39" s="27"/>
    </row>
  </sheetData>
  <mergeCells count="12">
    <mergeCell ref="E27:F27"/>
    <mergeCell ref="B27:C27"/>
    <mergeCell ref="B33:C33"/>
    <mergeCell ref="E33:F33"/>
    <mergeCell ref="B18:F18"/>
    <mergeCell ref="H23:I23"/>
    <mergeCell ref="H17:J17"/>
    <mergeCell ref="B21:C21"/>
    <mergeCell ref="B2:E2"/>
    <mergeCell ref="I4:J4"/>
    <mergeCell ref="D16:E16"/>
    <mergeCell ref="D12:E12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Solterra Systems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 Moen</dc:creator>
  <cp:lastModifiedBy>Microsoft Office User</cp:lastModifiedBy>
  <dcterms:created xsi:type="dcterms:W3CDTF">2015-09-22T03:09:35Z</dcterms:created>
  <dcterms:modified xsi:type="dcterms:W3CDTF">2016-12-01T17:38:40Z</dcterms:modified>
</cp:coreProperties>
</file>